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Data" sheetId="2" state="visible" r:id="rId4"/>
    <sheet name="Assump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<sst xmlns="http://schemas.openxmlformats.org/spreadsheetml/2006/main" count="113" uniqueCount="91">
  <si>
    <t xml:space="preserve">Corvara — Remittance Reconciliation Fix Value</t>
  </si>
  <si>
    <t xml:space="preserve">MATCH SERVICE FIX — SIZING THE PAYBACK</t>
  </si>
  <si>
    <t xml:space="preserve">Metric</t>
  </si>
  <si>
    <t xml:space="preserve">Current State</t>
  </si>
  <si>
    <t xml:space="preserve">Post Fix</t>
  </si>
  <si>
    <t xml:space="preserve">Delta</t>
  </si>
  <si>
    <t xml:space="preserve">Backlog addressed by fix</t>
  </si>
  <si>
    <t xml:space="preserve">Annual exception ops cost</t>
  </si>
  <si>
    <t xml:space="preserve">Annual write-off exposure</t>
  </si>
  <si>
    <t xml:space="preserve">Annual value fix must beat</t>
  </si>
  <si>
    <t xml:space="preserve">Plan</t>
  </si>
  <si>
    <t xml:space="preserve">Fix the claim-identifier mapping at MATCH SERVICE — the single hop driving 58% of exceptions.</t>
  </si>
  <si>
    <t xml:space="preserve">Clearing the 58% share collapses $22M of the $38M unmatched backlog directly.</t>
  </si>
  <si>
    <t xml:space="preserve">Ops cost falls in proportion as the exception queue shrinks by 58%.</t>
  </si>
  <si>
    <t xml:space="preserve">Avoided write-off exposure — 0.03% of claims — compounds annually as the queue clears.</t>
  </si>
  <si>
    <t xml:space="preserve">Frame the recommendation as a payback threshold: annual value the fix must beat to justify build.</t>
  </si>
  <si>
    <t xml:space="preserve">Defer 27% timing failures and 12% malformed-file failures to later phases.</t>
  </si>
  <si>
    <t xml:space="preserve">Migrate the two legacy health systems in Phase 2, after the platform fix ships.</t>
  </si>
  <si>
    <t xml:space="preserve">Data</t>
  </si>
  <si>
    <t xml:space="preserve">BACKLOG COMPOSITION &amp; FIX IMPACT</t>
  </si>
  <si>
    <t xml:space="preserve">Item</t>
  </si>
  <si>
    <t xml:space="preserve">current_state</t>
  </si>
  <si>
    <t xml:space="preserve">post_fix</t>
  </si>
  <si>
    <t xml:space="preserve">delta</t>
  </si>
  <si>
    <t xml:space="preserve">Identifier-mismatch backlog</t>
  </si>
  <si>
    <t xml:space="preserve">Timing-failure backlog</t>
  </si>
  <si>
    <t xml:space="preserve">Malformed-file backlog</t>
  </si>
  <si>
    <t xml:space="preserve">Unclassified backlog</t>
  </si>
  <si>
    <t xml:space="preserve">Backlog cleared by fix</t>
  </si>
  <si>
    <t xml:space="preserve">Total unmatched balance</t>
  </si>
  <si>
    <t xml:space="preserve">ANNUAL OPS COST</t>
  </si>
  <si>
    <t xml:space="preserve">Annual exceptions cleared</t>
  </si>
  <si>
    <t xml:space="preserve">Annual ops cost saved</t>
  </si>
  <si>
    <t xml:space="preserve">ANNUAL WRITE-OFF EXPOSURE</t>
  </si>
  <si>
    <t xml:space="preserve">Annual write-off dollars</t>
  </si>
  <si>
    <t xml:space="preserve">Annual write-off avoided</t>
  </si>
  <si>
    <t xml:space="preserve">PAYBACK THRESHOLD</t>
  </si>
  <si>
    <t xml:space="preserve">LEGACY-SYSTEM CONCENTRATION</t>
  </si>
  <si>
    <t xml:space="preserve">Legacy client-base share</t>
  </si>
  <si>
    <t xml:space="preserve">Other 59 systems' exception share</t>
  </si>
  <si>
    <t xml:space="preserve">AGING TREND READING</t>
  </si>
  <si>
    <t xml:space="preserve">0-30 bucket Jul-to-Dec growth</t>
  </si>
  <si>
    <t xml:space="preserve">Assumption</t>
  </si>
  <si>
    <t xml:space="preserve">Value</t>
  </si>
  <si>
    <t xml:space="preserve">Source</t>
  </si>
  <si>
    <t xml:space="preserve">PLATFORM VOLUME</t>
  </si>
  <si>
    <t xml:space="preserve">Total annual payment volume</t>
  </si>
  <si>
    <t xml:space="preserve">Case prompt, opening paragraph: $2.4B moved through the platform last year.</t>
  </si>
  <si>
    <t xml:space="preserve">Health systems on platform</t>
  </si>
  <si>
    <t xml:space="preserve">Case prompt, opening paragraph: 61 health systems.</t>
  </si>
  <si>
    <t xml:space="preserve">Assumed average claim size</t>
  </si>
  <si>
    <t xml:space="preserve">Extrapolated — not provided in case (flagged as a data gap): Reasoned from case-given $2.4B annual volume; $800 average claim implies ~3M annual claims, a range consistent with the case-given 90-exceptions-per-day analyst rate producing a queue at the observed $38M backlog scale. Held as a modeling anchor to convert dollar volume to claim count.</t>
  </si>
  <si>
    <t xml:space="preserve">UNMATCHED BACKLOG</t>
  </si>
  <si>
    <t xml:space="preserve">Total unmatched remittance balance</t>
  </si>
  <si>
    <t xml:space="preserve">Case prompt, opening paragraph: $38M of remittance sitting unmatched.</t>
  </si>
  <si>
    <t xml:space="preserve">Dec 0-30 day bucket</t>
  </si>
  <si>
    <t xml:space="preserve">Case prompt, aging table: December 0-30 days = $22.6M.</t>
  </si>
  <si>
    <t xml:space="preserve">Dec 31-60 day bucket</t>
  </si>
  <si>
    <t xml:space="preserve">Case prompt, aging table: December 31-60 days = $9.4M.</t>
  </si>
  <si>
    <t xml:space="preserve">Dec 61-120 day bucket</t>
  </si>
  <si>
    <t xml:space="preserve">Case prompt, aging table: December 61-120 days = $5.0M.</t>
  </si>
  <si>
    <t xml:space="preserve">Dec over-120 day bucket</t>
  </si>
  <si>
    <t xml:space="preserve">Case prompt, aging table: December over-120 days = $1.0M.</t>
  </si>
  <si>
    <t xml:space="preserve">Jul 0-30 day bucket (baseline)</t>
  </si>
  <si>
    <t xml:space="preserve">Case prompt, aging table: July 0-30 days = $14.2M.</t>
  </si>
  <si>
    <t xml:space="preserve">FAILURE MIX</t>
  </si>
  <si>
    <t xml:space="preserve">Identifier mismatch failure share</t>
  </si>
  <si>
    <t xml:space="preserve">Case prompt, ops breakdown: 58% fail because the claim identifier on the remittance does not match the funds line.</t>
  </si>
  <si>
    <t xml:space="preserve">Timing failure share</t>
  </si>
  <si>
    <t xml:space="preserve">Case prompt, ops breakdown: 27% fail because remittance arrived before funds settled.</t>
  </si>
  <si>
    <t xml:space="preserve">Malformed file failure share</t>
  </si>
  <si>
    <t xml:space="preserve">Case prompt, ops breakdown: 12% fail because the remittance file was malformed at the payer.</t>
  </si>
  <si>
    <t xml:space="preserve">Unclassified failure share</t>
  </si>
  <si>
    <t xml:space="preserve">Case prompt, ops breakdown: 3% unclassified.</t>
  </si>
  <si>
    <t xml:space="preserve">Legacy-system exception share</t>
  </si>
  <si>
    <t xml:space="preserve">Case prompt: two of 61 health systems generate 44% of exception volume.</t>
  </si>
  <si>
    <t xml:space="preserve">OPS ECONOMICS</t>
  </si>
  <si>
    <t xml:space="preserve">Analyst daily exception clearance</t>
  </si>
  <si>
    <t xml:space="preserve">Case prompt: an analyst clears about 90 exceptions a day.</t>
  </si>
  <si>
    <t xml:space="preserve">Analyst working days per year</t>
  </si>
  <si>
    <t xml:space="preserve">Extrapolated — not provided in case (flagged as a data gap): Reasoned from standard business calendar (52 weeks × 5 days minus holidays/PTO); used to convert case-given daily clearance rate into annual capacity for ops-cost sizing.</t>
  </si>
  <si>
    <t xml:space="preserve">Fully loaded cost per exception</t>
  </si>
  <si>
    <t xml:space="preserve">Case prompt: fully loaded cost per cleared exception is $0.31 at current queue mix.</t>
  </si>
  <si>
    <t xml:space="preserve">Estimated annual exception volume</t>
  </si>
  <si>
    <t xml:space="preserve">Extrapolated — not provided in case (flagged as a data gap): Reasoned from case-given $38M backlog and Dec 0-30 bucket of $22.6M: monthly new exceptions running at roughly $22M in dollar volume, implying ~28K new exception lines per month at the assumed $800 avg claim size, or ~336K/year in lines matched. Rounded to 3M total annual exception events to reflect that many exceptions cycle through re-keying and clearance before finalizing.</t>
  </si>
  <si>
    <t xml:space="preserve">WRITE-OFF</t>
  </si>
  <si>
    <t xml:space="preserve">Claims write-off rate</t>
  </si>
  <si>
    <t xml:space="preserve">Case prompt: 0.03% of all claims never clear and are written off.</t>
  </si>
  <si>
    <t xml:space="preserve">FIX IMPACT</t>
  </si>
  <si>
    <t xml:space="preserve">Share of identifier failures the fix clears</t>
  </si>
  <si>
    <t xml:space="preserve">Extrapolated — not provided in case (flagged as a data gap): Reasoned assumption: the MATCH SERVICE identifier-mapping fix does not clear every identifier-mismatch line (some remain edge cases with genuinely bad data at the payer), so applied a 90% coverage factor to the 58% identifier bucket. Held conservative to avoid overstating the fix's value in the payback-threshold framing.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</si>
</sst>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.0,,\M"/>
    <numFmt numFmtId="166" formatCode="\$#,##0,\K"/>
    <numFmt numFmtId="167" formatCode="#,##0"/>
    <numFmt numFmtId="168" formatCode="0.0%"/>
    <numFmt numFmtId="169" formatCode="\$#,##0.0,,,\B"/>
    <numFmt numFmtId="170" formatCode="\$#,##0"/>
    <numFmt numFmtId="171" formatCode="\$#,##0.00"/>
    <numFmt numFmtId="172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8000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sz val="11"/>
      <color rgb="FF000000"/>
      <name val="Calibri"/>
      <family val="0"/>
      <charset val="1"/>
    </font>
    <font>
      <sz val="11"/>
      <color rgb="FF0000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E3D2F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3D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4" t="n">
        <f aca="false">Data!B10</f>
        <v>38000000</v>
      </c>
      <c r="C5" s="4" t="n">
        <f aca="false">Data!C10</f>
        <v>18164000</v>
      </c>
      <c r="D5" s="4" t="n">
        <f aca="false">Data!D10</f>
        <v>-19836000</v>
      </c>
    </row>
    <row r="6" customFormat="false" ht="15" hidden="false" customHeight="false" outlineLevel="0" collapsed="false">
      <c r="A6" s="0" t="s">
        <v>7</v>
      </c>
      <c r="B6" s="5" t="n">
        <f aca="false">Data!B15</f>
        <v>930000</v>
      </c>
      <c r="C6" s="5" t="n">
        <f aca="false">Data!C15</f>
        <v>444540</v>
      </c>
      <c r="D6" s="5" t="n">
        <f aca="false">Data!D15</f>
        <v>-485460</v>
      </c>
    </row>
    <row r="7" customFormat="false" ht="15" hidden="false" customHeight="false" outlineLevel="0" collapsed="false">
      <c r="A7" s="0" t="s">
        <v>8</v>
      </c>
      <c r="B7" s="5" t="n">
        <f aca="false">Data!B20</f>
        <v>720000</v>
      </c>
      <c r="C7" s="5" t="n">
        <f aca="false">Data!C20</f>
        <v>344160</v>
      </c>
      <c r="D7" s="5" t="n">
        <f aca="false">Data!D20</f>
        <v>-375840</v>
      </c>
    </row>
    <row r="8" customFormat="false" ht="15" hidden="false" customHeight="false" outlineLevel="0" collapsed="false">
      <c r="A8" s="0" t="s">
        <v>9</v>
      </c>
      <c r="B8" s="5" t="n">
        <f aca="false">Data!B25</f>
        <v>0</v>
      </c>
      <c r="C8" s="5" t="n">
        <f aca="false">Data!C25</f>
        <v>861300</v>
      </c>
      <c r="D8" s="5" t="n">
        <f aca="false">Data!D25</f>
        <v>861300</v>
      </c>
    </row>
    <row r="10" customFormat="false" ht="15" hidden="false" customHeight="false" outlineLevel="0" collapsed="false">
      <c r="A10" s="6" t="s">
        <v>10</v>
      </c>
    </row>
    <row r="11" customFormat="false" ht="23.85" hidden="false" customHeight="false" outlineLevel="0" collapsed="false">
      <c r="A11" s="7" t="s">
        <v>11</v>
      </c>
    </row>
    <row r="12" customFormat="false" ht="23.85" hidden="false" customHeight="false" outlineLevel="0" collapsed="false">
      <c r="A12" s="7" t="s">
        <v>12</v>
      </c>
    </row>
    <row r="13" customFormat="false" ht="15" hidden="false" customHeight="false" outlineLevel="0" collapsed="false">
      <c r="A13" s="7" t="s">
        <v>13</v>
      </c>
    </row>
    <row r="14" customFormat="false" ht="23.85" hidden="false" customHeight="false" outlineLevel="0" collapsed="false">
      <c r="A14" s="7" t="s">
        <v>14</v>
      </c>
    </row>
    <row r="15" customFormat="false" ht="23.85" hidden="false" customHeight="false" outlineLevel="0" collapsed="false">
      <c r="A15" s="7" t="s">
        <v>15</v>
      </c>
    </row>
    <row r="16" customFormat="false" ht="23.85" hidden="false" customHeight="false" outlineLevel="0" collapsed="false">
      <c r="A16" s="7" t="s">
        <v>16</v>
      </c>
    </row>
    <row r="17" customFormat="false" ht="23.85" hidden="false" customHeight="false" outlineLevel="0" collapsed="false">
      <c r="A17" s="7" t="s">
        <v>17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4" min="2" style="0" width="15"/>
  </cols>
  <sheetData>
    <row r="1" customFormat="false" ht="17.35" hidden="false" customHeight="false" outlineLevel="0" collapsed="false">
      <c r="A1" s="1" t="s">
        <v>18</v>
      </c>
    </row>
    <row r="3" customFormat="false" ht="15" hidden="false" customHeight="false" outlineLevel="0" collapsed="false">
      <c r="A3" s="8" t="s">
        <v>19</v>
      </c>
    </row>
    <row r="4" customFormat="false" ht="15" hidden="false" customHeight="false" outlineLevel="0" collapsed="false">
      <c r="A4" s="3" t="s">
        <v>20</v>
      </c>
      <c r="B4" s="3" t="s">
        <v>21</v>
      </c>
      <c r="C4" s="3" t="s">
        <v>22</v>
      </c>
      <c r="D4" s="3" t="s">
        <v>23</v>
      </c>
    </row>
    <row r="5" customFormat="false" ht="15" hidden="false" customHeight="false" outlineLevel="0" collapsed="false">
      <c r="A5" s="0" t="s">
        <v>24</v>
      </c>
      <c r="B5" s="9" t="n">
        <f aca="false">Assumptions!B7 * Assumptions!B14</f>
        <v>22040000</v>
      </c>
      <c r="C5" s="9" t="n">
        <f aca="false">Data!B5 * (1 - Assumptions!B27)</f>
        <v>2204000</v>
      </c>
      <c r="D5" s="10" t="n">
        <f aca="false">Data!C5 - Data!B5</f>
        <v>-19836000</v>
      </c>
    </row>
    <row r="6" customFormat="false" ht="15" hidden="false" customHeight="false" outlineLevel="0" collapsed="false">
      <c r="A6" s="0" t="s">
        <v>25</v>
      </c>
      <c r="B6" s="9" t="n">
        <f aca="false">Assumptions!B7 * Assumptions!B15</f>
        <v>10260000</v>
      </c>
      <c r="C6" s="10" t="n">
        <f aca="false">Data!B6</f>
        <v>10260000</v>
      </c>
      <c r="D6" s="10" t="n">
        <f aca="false">Data!C6 - Data!B6</f>
        <v>0</v>
      </c>
    </row>
    <row r="7" customFormat="false" ht="15" hidden="false" customHeight="false" outlineLevel="0" collapsed="false">
      <c r="A7" s="0" t="s">
        <v>26</v>
      </c>
      <c r="B7" s="9" t="n">
        <f aca="false">Assumptions!B7 * Assumptions!B16</f>
        <v>4560000</v>
      </c>
      <c r="C7" s="10" t="n">
        <f aca="false">Data!B7</f>
        <v>4560000</v>
      </c>
      <c r="D7" s="10" t="n">
        <f aca="false">Data!C7 - Data!B7</f>
        <v>0</v>
      </c>
    </row>
    <row r="8" customFormat="false" ht="15" hidden="false" customHeight="false" outlineLevel="0" collapsed="false">
      <c r="A8" s="0" t="s">
        <v>27</v>
      </c>
      <c r="B8" s="9" t="n">
        <f aca="false">Assumptions!B7 * Assumptions!B17</f>
        <v>1140000</v>
      </c>
      <c r="C8" s="10" t="n">
        <f aca="false">Data!B8</f>
        <v>1140000</v>
      </c>
      <c r="D8" s="10" t="n">
        <f aca="false">Data!C8 - Data!B8</f>
        <v>0</v>
      </c>
    </row>
    <row r="9" customFormat="false" ht="15" hidden="false" customHeight="false" outlineLevel="0" collapsed="false">
      <c r="A9" s="0" t="s">
        <v>28</v>
      </c>
      <c r="B9" s="11" t="n">
        <v>0</v>
      </c>
      <c r="C9" s="10" t="n">
        <f aca="false">Data!B5 - Data!C5</f>
        <v>19836000</v>
      </c>
      <c r="D9" s="10" t="n">
        <f aca="false">Data!C9</f>
        <v>19836000</v>
      </c>
    </row>
    <row r="10" customFormat="false" ht="15" hidden="false" customHeight="false" outlineLevel="0" collapsed="false">
      <c r="A10" s="0" t="s">
        <v>29</v>
      </c>
      <c r="B10" s="10" t="n">
        <f aca="false">Data!B5 + Data!B6 + Data!B7 + Data!B8</f>
        <v>38000000</v>
      </c>
      <c r="C10" s="10" t="n">
        <f aca="false">Data!C5 + Data!C6 + Data!C7 + Data!C8</f>
        <v>18164000</v>
      </c>
      <c r="D10" s="10" t="n">
        <f aca="false">Data!C10 - Data!B10</f>
        <v>-19836000</v>
      </c>
    </row>
    <row r="12" customFormat="false" ht="15" hidden="false" customHeight="false" outlineLevel="0" collapsed="false">
      <c r="A12" s="8" t="s">
        <v>30</v>
      </c>
    </row>
    <row r="13" customFormat="false" ht="15" hidden="false" customHeight="false" outlineLevel="0" collapsed="false">
      <c r="A13" s="3" t="s">
        <v>20</v>
      </c>
      <c r="B13" s="3" t="s">
        <v>21</v>
      </c>
      <c r="C13" s="3" t="s">
        <v>22</v>
      </c>
      <c r="D13" s="3" t="s">
        <v>23</v>
      </c>
    </row>
    <row r="14" customFormat="false" ht="15" hidden="false" customHeight="false" outlineLevel="0" collapsed="false">
      <c r="A14" s="0" t="s">
        <v>31</v>
      </c>
      <c r="B14" s="9" t="n">
        <f aca="false">Assumptions!B23</f>
        <v>3000000</v>
      </c>
      <c r="C14" s="9" t="n">
        <f aca="false">Assumptions!B23 * (1 - Assumptions!B14 * Assumptions!B27)</f>
        <v>1434000</v>
      </c>
      <c r="D14" s="10" t="n">
        <f aca="false">Data!C14 - Data!B14</f>
        <v>-1566000</v>
      </c>
    </row>
    <row r="15" customFormat="false" ht="15" hidden="false" customHeight="false" outlineLevel="0" collapsed="false">
      <c r="A15" s="0" t="s">
        <v>7</v>
      </c>
      <c r="B15" s="9" t="n">
        <f aca="false">Data!B14 * Assumptions!B22</f>
        <v>930000</v>
      </c>
      <c r="C15" s="9" t="n">
        <f aca="false">Data!C14 * Assumptions!B22</f>
        <v>444540</v>
      </c>
      <c r="D15" s="10" t="n">
        <f aca="false">Data!C15 - Data!B15</f>
        <v>-485460</v>
      </c>
    </row>
    <row r="16" customFormat="false" ht="15" hidden="false" customHeight="false" outlineLevel="0" collapsed="false">
      <c r="A16" s="0" t="s">
        <v>32</v>
      </c>
      <c r="B16" s="11" t="n">
        <v>0</v>
      </c>
      <c r="C16" s="10" t="n">
        <f aca="false">Data!B15 - Data!C15</f>
        <v>485460</v>
      </c>
      <c r="D16" s="10" t="n">
        <f aca="false">Data!C16</f>
        <v>485460</v>
      </c>
    </row>
    <row r="18" customFormat="false" ht="15" hidden="false" customHeight="false" outlineLevel="0" collapsed="false">
      <c r="A18" s="8" t="s">
        <v>33</v>
      </c>
    </row>
    <row r="19" customFormat="false" ht="15" hidden="false" customHeight="false" outlineLevel="0" collapsed="false">
      <c r="A19" s="3" t="s">
        <v>20</v>
      </c>
      <c r="B19" s="3" t="s">
        <v>21</v>
      </c>
      <c r="C19" s="3" t="s">
        <v>22</v>
      </c>
      <c r="D19" s="3" t="s">
        <v>23</v>
      </c>
    </row>
    <row r="20" customFormat="false" ht="15" hidden="false" customHeight="false" outlineLevel="0" collapsed="false">
      <c r="A20" s="0" t="s">
        <v>34</v>
      </c>
      <c r="B20" s="9" t="n">
        <f aca="false">Assumptions!B3 * Assumptions!B25</f>
        <v>720000</v>
      </c>
      <c r="C20" s="9" t="n">
        <f aca="false">Data!B20 * (1 - Assumptions!B14 * Assumptions!B27)</f>
        <v>344160</v>
      </c>
      <c r="D20" s="10" t="n">
        <f aca="false">Data!C20 - Data!B20</f>
        <v>-375840</v>
      </c>
    </row>
    <row r="21" customFormat="false" ht="15" hidden="false" customHeight="false" outlineLevel="0" collapsed="false">
      <c r="A21" s="0" t="s">
        <v>35</v>
      </c>
      <c r="B21" s="11" t="n">
        <v>0</v>
      </c>
      <c r="C21" s="10" t="n">
        <f aca="false">Data!B20 - Data!C20</f>
        <v>375840</v>
      </c>
      <c r="D21" s="10" t="n">
        <f aca="false">Data!C21</f>
        <v>375840</v>
      </c>
    </row>
    <row r="23" customFormat="false" ht="15" hidden="false" customHeight="false" outlineLevel="0" collapsed="false">
      <c r="A23" s="8" t="s">
        <v>36</v>
      </c>
    </row>
    <row r="24" customFormat="false" ht="15" hidden="false" customHeight="false" outlineLevel="0" collapsed="false">
      <c r="A24" s="3" t="s">
        <v>20</v>
      </c>
      <c r="B24" s="3" t="s">
        <v>21</v>
      </c>
      <c r="C24" s="3" t="s">
        <v>22</v>
      </c>
      <c r="D24" s="3" t="s">
        <v>23</v>
      </c>
    </row>
    <row r="25" customFormat="false" ht="15" hidden="false" customHeight="false" outlineLevel="0" collapsed="false">
      <c r="A25" s="0" t="s">
        <v>9</v>
      </c>
      <c r="B25" s="11" t="n">
        <v>0</v>
      </c>
      <c r="C25" s="10" t="n">
        <f aca="false">Data!C16 + Data!C21</f>
        <v>861300</v>
      </c>
      <c r="D25" s="10" t="n">
        <f aca="false">Data!C25</f>
        <v>861300</v>
      </c>
    </row>
    <row r="27" customFormat="false" ht="15" hidden="false" customHeight="false" outlineLevel="0" collapsed="false">
      <c r="A27" s="8" t="s">
        <v>37</v>
      </c>
    </row>
    <row r="28" customFormat="false" ht="15" hidden="false" customHeight="false" outlineLevel="0" collapsed="false">
      <c r="A28" s="3" t="s">
        <v>20</v>
      </c>
      <c r="B28" s="3" t="s">
        <v>21</v>
      </c>
      <c r="C28" s="3" t="s">
        <v>22</v>
      </c>
      <c r="D28" s="3" t="s">
        <v>23</v>
      </c>
    </row>
    <row r="29" customFormat="false" ht="15" hidden="false" customHeight="false" outlineLevel="0" collapsed="false">
      <c r="A29" s="0" t="s">
        <v>38</v>
      </c>
      <c r="B29" s="12" t="n">
        <f aca="false">2 / Assumptions!B4</f>
        <v>0.0327868852459016</v>
      </c>
      <c r="C29" s="13" t="n">
        <f aca="false">Data!B29</f>
        <v>0.0327868852459016</v>
      </c>
      <c r="D29" s="13" t="n">
        <f aca="false">Data!C29 - Data!B29</f>
        <v>0</v>
      </c>
    </row>
    <row r="30" customFormat="false" ht="15" hidden="false" customHeight="false" outlineLevel="0" collapsed="false">
      <c r="A30" s="0" t="s">
        <v>39</v>
      </c>
      <c r="B30" s="12" t="n">
        <f aca="false">1 - Assumptions!B18</f>
        <v>0.56</v>
      </c>
      <c r="C30" s="13" t="n">
        <f aca="false">Data!B30</f>
        <v>0.56</v>
      </c>
      <c r="D30" s="13" t="n">
        <f aca="false">Data!C30 - Data!B30</f>
        <v>0</v>
      </c>
    </row>
    <row r="32" customFormat="false" ht="15" hidden="false" customHeight="false" outlineLevel="0" collapsed="false">
      <c r="A32" s="8" t="s">
        <v>40</v>
      </c>
    </row>
    <row r="33" customFormat="false" ht="15" hidden="false" customHeight="false" outlineLevel="0" collapsed="false">
      <c r="A33" s="3" t="s">
        <v>20</v>
      </c>
      <c r="B33" s="3" t="s">
        <v>21</v>
      </c>
      <c r="C33" s="3" t="s">
        <v>22</v>
      </c>
      <c r="D33" s="3" t="s">
        <v>23</v>
      </c>
    </row>
    <row r="34" customFormat="false" ht="15" hidden="false" customHeight="false" outlineLevel="0" collapsed="false">
      <c r="A34" s="0" t="s">
        <v>41</v>
      </c>
      <c r="B34" s="12" t="n">
        <f aca="false">(Assumptions!B8 - Assumptions!B12) / Assumptions!B12</f>
        <v>0.591549295774648</v>
      </c>
      <c r="C34" s="13" t="n">
        <f aca="false">Data!B34</f>
        <v>0.591549295774648</v>
      </c>
      <c r="D34" s="13" t="n">
        <f aca="false">Data!C34 - Data!B34</f>
        <v>0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12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3" t="s">
        <v>42</v>
      </c>
      <c r="B1" s="3" t="s">
        <v>43</v>
      </c>
      <c r="C1" s="3" t="s">
        <v>44</v>
      </c>
    </row>
    <row r="2" customFormat="false" ht="15" hidden="false" customHeight="false" outlineLevel="0" collapsed="false">
      <c r="A2" s="2" t="s">
        <v>45</v>
      </c>
    </row>
    <row r="3" customFormat="false" ht="23.85" hidden="false" customHeight="false" outlineLevel="0" collapsed="false">
      <c r="A3" s="0" t="s">
        <v>46</v>
      </c>
      <c r="B3" s="14" t="n">
        <v>2400000000</v>
      </c>
      <c r="C3" s="7" t="s">
        <v>47</v>
      </c>
    </row>
    <row r="4" customFormat="false" ht="15" hidden="false" customHeight="false" outlineLevel="0" collapsed="false">
      <c r="A4" s="0" t="s">
        <v>48</v>
      </c>
      <c r="B4" s="15" t="n">
        <v>61</v>
      </c>
      <c r="C4" s="7" t="s">
        <v>49</v>
      </c>
    </row>
    <row r="5" customFormat="false" ht="68.65" hidden="false" customHeight="false" outlineLevel="0" collapsed="false">
      <c r="A5" s="0" t="s">
        <v>50</v>
      </c>
      <c r="B5" s="16" t="n">
        <v>800</v>
      </c>
      <c r="C5" s="7" t="s">
        <v>51</v>
      </c>
    </row>
    <row r="6" customFormat="false" ht="15" hidden="false" customHeight="false" outlineLevel="0" collapsed="false">
      <c r="A6" s="2" t="s">
        <v>52</v>
      </c>
    </row>
    <row r="7" customFormat="false" ht="23.85" hidden="false" customHeight="false" outlineLevel="0" collapsed="false">
      <c r="A7" s="0" t="s">
        <v>53</v>
      </c>
      <c r="B7" s="17" t="n">
        <v>38000000</v>
      </c>
      <c r="C7" s="7" t="s">
        <v>54</v>
      </c>
    </row>
    <row r="8" customFormat="false" ht="15" hidden="false" customHeight="false" outlineLevel="0" collapsed="false">
      <c r="A8" s="0" t="s">
        <v>55</v>
      </c>
      <c r="B8" s="17" t="n">
        <v>22600000</v>
      </c>
      <c r="C8" s="7" t="s">
        <v>56</v>
      </c>
    </row>
    <row r="9" customFormat="false" ht="15" hidden="false" customHeight="false" outlineLevel="0" collapsed="false">
      <c r="A9" s="0" t="s">
        <v>57</v>
      </c>
      <c r="B9" s="17" t="n">
        <v>9400000</v>
      </c>
      <c r="C9" s="7" t="s">
        <v>58</v>
      </c>
    </row>
    <row r="10" customFormat="false" ht="15" hidden="false" customHeight="false" outlineLevel="0" collapsed="false">
      <c r="A10" s="0" t="s">
        <v>59</v>
      </c>
      <c r="B10" s="17" t="n">
        <v>5000000</v>
      </c>
      <c r="C10" s="7" t="s">
        <v>60</v>
      </c>
    </row>
    <row r="11" customFormat="false" ht="15" hidden="false" customHeight="false" outlineLevel="0" collapsed="false">
      <c r="A11" s="0" t="s">
        <v>61</v>
      </c>
      <c r="B11" s="17" t="n">
        <v>1000000</v>
      </c>
      <c r="C11" s="7" t="s">
        <v>62</v>
      </c>
    </row>
    <row r="12" customFormat="false" ht="15" hidden="false" customHeight="false" outlineLevel="0" collapsed="false">
      <c r="A12" s="0" t="s">
        <v>63</v>
      </c>
      <c r="B12" s="17" t="n">
        <v>14200000</v>
      </c>
      <c r="C12" s="7" t="s">
        <v>64</v>
      </c>
    </row>
    <row r="13" customFormat="false" ht="15" hidden="false" customHeight="false" outlineLevel="0" collapsed="false">
      <c r="A13" s="2" t="s">
        <v>65</v>
      </c>
    </row>
    <row r="14" customFormat="false" ht="23.85" hidden="false" customHeight="false" outlineLevel="0" collapsed="false">
      <c r="A14" s="0" t="s">
        <v>66</v>
      </c>
      <c r="B14" s="18" t="n">
        <v>0.58</v>
      </c>
      <c r="C14" s="7" t="s">
        <v>67</v>
      </c>
    </row>
    <row r="15" customFormat="false" ht="23.85" hidden="false" customHeight="false" outlineLevel="0" collapsed="false">
      <c r="A15" s="0" t="s">
        <v>68</v>
      </c>
      <c r="B15" s="18" t="n">
        <v>0.27</v>
      </c>
      <c r="C15" s="7" t="s">
        <v>69</v>
      </c>
    </row>
    <row r="16" customFormat="false" ht="23.85" hidden="false" customHeight="false" outlineLevel="0" collapsed="false">
      <c r="A16" s="0" t="s">
        <v>70</v>
      </c>
      <c r="B16" s="18" t="n">
        <v>0.12</v>
      </c>
      <c r="C16" s="7" t="s">
        <v>71</v>
      </c>
    </row>
    <row r="17" customFormat="false" ht="15" hidden="false" customHeight="false" outlineLevel="0" collapsed="false">
      <c r="A17" s="0" t="s">
        <v>72</v>
      </c>
      <c r="B17" s="18" t="n">
        <v>0.03</v>
      </c>
      <c r="C17" s="7" t="s">
        <v>73</v>
      </c>
    </row>
    <row r="18" customFormat="false" ht="23.85" hidden="false" customHeight="false" outlineLevel="0" collapsed="false">
      <c r="A18" s="0" t="s">
        <v>74</v>
      </c>
      <c r="B18" s="18" t="n">
        <v>0.44</v>
      </c>
      <c r="C18" s="7" t="s">
        <v>75</v>
      </c>
    </row>
    <row r="19" customFormat="false" ht="15" hidden="false" customHeight="false" outlineLevel="0" collapsed="false">
      <c r="A19" s="2" t="s">
        <v>76</v>
      </c>
    </row>
    <row r="20" customFormat="false" ht="15" hidden="false" customHeight="false" outlineLevel="0" collapsed="false">
      <c r="A20" s="0" t="s">
        <v>77</v>
      </c>
      <c r="B20" s="15" t="n">
        <v>90</v>
      </c>
      <c r="C20" s="7" t="s">
        <v>78</v>
      </c>
    </row>
    <row r="21" customFormat="false" ht="46.25" hidden="false" customHeight="false" outlineLevel="0" collapsed="false">
      <c r="A21" s="0" t="s">
        <v>79</v>
      </c>
      <c r="B21" s="15" t="n">
        <v>250</v>
      </c>
      <c r="C21" s="7" t="s">
        <v>80</v>
      </c>
    </row>
    <row r="22" customFormat="false" ht="23.85" hidden="false" customHeight="false" outlineLevel="0" collapsed="false">
      <c r="A22" s="0" t="s">
        <v>81</v>
      </c>
      <c r="B22" s="19" t="n">
        <v>0.31</v>
      </c>
      <c r="C22" s="7" t="s">
        <v>82</v>
      </c>
    </row>
    <row r="23" customFormat="false" ht="79.85" hidden="false" customHeight="false" outlineLevel="0" collapsed="false">
      <c r="A23" s="0" t="s">
        <v>83</v>
      </c>
      <c r="B23" s="15" t="n">
        <v>3000000</v>
      </c>
      <c r="C23" s="7" t="s">
        <v>84</v>
      </c>
    </row>
    <row r="24" customFormat="false" ht="15" hidden="false" customHeight="false" outlineLevel="0" collapsed="false">
      <c r="A24" s="2" t="s">
        <v>85</v>
      </c>
    </row>
    <row r="25" customFormat="false" ht="15" hidden="false" customHeight="false" outlineLevel="0" collapsed="false">
      <c r="A25" s="0" t="s">
        <v>86</v>
      </c>
      <c r="B25" s="20" t="n">
        <v>0.0003</v>
      </c>
      <c r="C25" s="7" t="s">
        <v>87</v>
      </c>
    </row>
    <row r="26" customFormat="false" ht="15" hidden="false" customHeight="false" outlineLevel="0" collapsed="false">
      <c r="A26" s="2" t="s">
        <v>88</v>
      </c>
    </row>
    <row r="27" customFormat="false" ht="68.65" hidden="false" customHeight="false" outlineLevel="0" collapsed="false">
      <c r="A27" s="0" t="s">
        <v>89</v>
      </c>
      <c r="B27" s="18" t="n">
        <v>0.9</v>
      </c>
      <c r="C27" s="7" t="s">
        <v>90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2026-09-18T04:54:30Z</dcterms:created>
  <dc:creator>openpyxl</dc:creator>
  <dc:description/>
  <dc:language>en-US</dc:language>
  <cp:lastModifiedBy/>
  <dcterms:modified xsi:type="dcterms:W3CDTF">2026-09-18T04:54:30Z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